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Public\!\НА САЙТ!!!!\На перше число в Excel\"/>
    </mc:Choice>
  </mc:AlternateContent>
  <bookViews>
    <workbookView xWindow="10250" yWindow="200" windowWidth="15500" windowHeight="10380" tabRatio="831"/>
  </bookViews>
  <sheets>
    <sheet name="дод 10 " sheetId="36" r:id="rId1"/>
  </sheets>
  <definedNames>
    <definedName name="Print_Titles" localSheetId="0">'дод 10 '!$5:$6</definedName>
  </definedNames>
  <calcPr calcId="152511"/>
</workbook>
</file>

<file path=xl/calcChain.xml><?xml version="1.0" encoding="utf-8"?>
<calcChain xmlns="http://schemas.openxmlformats.org/spreadsheetml/2006/main">
  <c r="G45" i="36" l="1"/>
  <c r="G38" i="36" l="1"/>
  <c r="G37" i="36"/>
  <c r="G32" i="36"/>
  <c r="G31" i="36"/>
  <c r="G30" i="36"/>
  <c r="G28" i="36"/>
  <c r="G27" i="36"/>
  <c r="G26" i="36"/>
  <c r="G25" i="36"/>
  <c r="G23" i="36"/>
  <c r="G19" i="36"/>
  <c r="G17" i="36"/>
  <c r="G36" i="36" l="1"/>
  <c r="G34" i="36"/>
  <c r="G50" i="36"/>
  <c r="G42" i="36"/>
  <c r="F15" i="36" l="1"/>
  <c r="C44" i="36"/>
  <c r="F44" i="36"/>
  <c r="E44" i="36"/>
  <c r="H47" i="36"/>
  <c r="C47" i="36"/>
  <c r="E47" i="36"/>
  <c r="D45" i="36"/>
  <c r="F12" i="36"/>
  <c r="D15" i="36"/>
  <c r="G39" i="36"/>
  <c r="D16" i="36"/>
  <c r="C17" i="36"/>
  <c r="C18" i="36"/>
  <c r="C19" i="36"/>
  <c r="C20" i="36"/>
  <c r="C21" i="36"/>
  <c r="D22" i="36"/>
  <c r="C22" i="36" s="1"/>
  <c r="C23" i="36"/>
  <c r="C24" i="36"/>
  <c r="C25" i="36"/>
  <c r="C26" i="36"/>
  <c r="C27" i="36"/>
  <c r="C28" i="36"/>
  <c r="D29" i="36"/>
  <c r="C29" i="36" s="1"/>
  <c r="D30" i="36"/>
  <c r="C30" i="36" s="1"/>
  <c r="C31" i="36"/>
  <c r="C32" i="36"/>
  <c r="C34" i="36"/>
  <c r="D34" i="36"/>
  <c r="D33" i="36" s="1"/>
  <c r="C33" i="36" s="1"/>
  <c r="C35" i="36"/>
  <c r="C36" i="36"/>
  <c r="C37" i="36"/>
  <c r="C38" i="36"/>
  <c r="D39" i="36"/>
  <c r="C39" i="36" s="1"/>
  <c r="C40" i="36"/>
  <c r="D42" i="36"/>
  <c r="D41" i="36" s="1"/>
  <c r="C41" i="36" s="1"/>
  <c r="C43" i="36"/>
  <c r="D44" i="36"/>
  <c r="C46" i="36"/>
  <c r="D46" i="36"/>
  <c r="D48" i="36"/>
  <c r="C48" i="36" s="1"/>
  <c r="C49" i="36"/>
  <c r="D49" i="36"/>
  <c r="C50" i="36"/>
  <c r="D51" i="36"/>
  <c r="C51" i="36" s="1"/>
  <c r="C52" i="36"/>
  <c r="C53" i="36"/>
  <c r="C54" i="36"/>
  <c r="C59" i="36"/>
  <c r="D59" i="36"/>
  <c r="C60" i="36"/>
  <c r="D61" i="36"/>
  <c r="C61" i="36" s="1"/>
  <c r="D62" i="36"/>
  <c r="C63" i="36"/>
  <c r="C62" i="36" s="1"/>
  <c r="C45" i="36" l="1"/>
  <c r="C42" i="36"/>
  <c r="C16" i="36"/>
  <c r="G20" i="36"/>
  <c r="D64" i="36" l="1"/>
  <c r="G63" i="36"/>
  <c r="G40" i="36"/>
  <c r="G46" i="36" l="1"/>
  <c r="G52" i="36"/>
  <c r="G53" i="36" l="1"/>
  <c r="G21" i="36"/>
  <c r="G18" i="36"/>
  <c r="G43" i="36" l="1"/>
  <c r="G8" i="36" l="1"/>
  <c r="F56" i="36" l="1"/>
  <c r="F55" i="36"/>
  <c r="E55" i="36" s="1"/>
  <c r="C55" i="36" s="1"/>
  <c r="G7" i="36"/>
  <c r="F8" i="36"/>
  <c r="G35" i="36" l="1"/>
  <c r="G62" i="36"/>
  <c r="G61" i="36" s="1"/>
  <c r="G44" i="36"/>
  <c r="H34" i="36"/>
  <c r="G48" i="36"/>
  <c r="H50" i="36"/>
  <c r="F14" i="36"/>
  <c r="F13" i="36" s="1"/>
  <c r="E8" i="36"/>
  <c r="C8" i="36" s="1"/>
  <c r="E11" i="36"/>
  <c r="E56" i="36"/>
  <c r="G22" i="36"/>
  <c r="H53" i="36"/>
  <c r="H52" i="36"/>
  <c r="H40" i="36"/>
  <c r="H36" i="36"/>
  <c r="H37" i="36"/>
  <c r="H31" i="36"/>
  <c r="H32" i="36"/>
  <c r="H30" i="36"/>
  <c r="H28" i="36"/>
  <c r="H24" i="36"/>
  <c r="H25" i="36"/>
  <c r="H26" i="36"/>
  <c r="H27" i="36"/>
  <c r="H23" i="36"/>
  <c r="H19" i="36"/>
  <c r="H20" i="36"/>
  <c r="G54" i="36"/>
  <c r="H54" i="36" s="1"/>
  <c r="G59" i="36"/>
  <c r="G51" i="36"/>
  <c r="G29" i="36"/>
  <c r="G13" i="36"/>
  <c r="H43" i="36"/>
  <c r="F7" i="36"/>
  <c r="E10" i="36"/>
  <c r="E58" i="36"/>
  <c r="E57" i="36"/>
  <c r="E14" i="36"/>
  <c r="E9" i="36"/>
  <c r="H63" i="36"/>
  <c r="H60" i="36"/>
  <c r="H38" i="36"/>
  <c r="C56" i="36" l="1"/>
  <c r="H56" i="36" s="1"/>
  <c r="C57" i="36"/>
  <c r="H57" i="36" s="1"/>
  <c r="C11" i="36"/>
  <c r="H11" i="36" s="1"/>
  <c r="E13" i="36"/>
  <c r="C14" i="36"/>
  <c r="H14" i="36" s="1"/>
  <c r="C58" i="36"/>
  <c r="H58" i="36" s="1"/>
  <c r="C9" i="36"/>
  <c r="H9" i="36" s="1"/>
  <c r="C10" i="36"/>
  <c r="H10" i="36" s="1"/>
  <c r="H48" i="36"/>
  <c r="H42" i="36"/>
  <c r="H44" i="36"/>
  <c r="H29" i="36"/>
  <c r="H22" i="36"/>
  <c r="H35" i="36"/>
  <c r="H17" i="36"/>
  <c r="H18" i="36"/>
  <c r="H49" i="36"/>
  <c r="H46" i="36"/>
  <c r="H61" i="36"/>
  <c r="H51" i="36"/>
  <c r="H8" i="36"/>
  <c r="H45" i="36"/>
  <c r="H59" i="36"/>
  <c r="E12" i="36"/>
  <c r="G41" i="36"/>
  <c r="H39" i="36"/>
  <c r="H62" i="36"/>
  <c r="G33" i="36"/>
  <c r="H21" i="36"/>
  <c r="G16" i="36"/>
  <c r="H16" i="36" s="1"/>
  <c r="H41" i="36" l="1"/>
  <c r="G15" i="36"/>
  <c r="G64" i="36" s="1"/>
  <c r="C12" i="36"/>
  <c r="H12" i="36" s="1"/>
  <c r="C13" i="36"/>
  <c r="H13" i="36" s="1"/>
  <c r="E15" i="36"/>
  <c r="C15" i="36" s="1"/>
  <c r="F64" i="36"/>
  <c r="E7" i="36"/>
  <c r="H33" i="36"/>
  <c r="C7" i="36" l="1"/>
  <c r="H7" i="36" s="1"/>
  <c r="H15" i="36"/>
  <c r="E64" i="36"/>
  <c r="C64" i="36" s="1"/>
  <c r="H64" i="36" l="1"/>
</calcChain>
</file>

<file path=xl/sharedStrings.xml><?xml version="1.0" encoding="utf-8"?>
<sst xmlns="http://schemas.openxmlformats.org/spreadsheetml/2006/main" count="91" uniqueCount="91">
  <si>
    <t>Інша діяльність у сфері житлово-комунального господарства</t>
  </si>
  <si>
    <t>оплата електроенергії насосних станцій</t>
  </si>
  <si>
    <t>Монтування ялинки та гірлянд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</si>
  <si>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</si>
  <si>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</si>
  <si>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</si>
  <si>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</si>
  <si>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</si>
  <si>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</si>
  <si>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</si>
  <si>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</si>
  <si>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</si>
  <si>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</si>
  <si>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</si>
  <si>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</si>
  <si>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</si>
  <si>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</si>
  <si>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</si>
  <si>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</si>
  <si>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</si>
  <si>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</si>
  <si>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</si>
  <si>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</si>
  <si>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</si>
  <si>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</si>
  <si>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</si>
  <si>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</si>
  <si>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</si>
  <si>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</si>
  <si>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</si>
  <si>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</si>
  <si>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</si>
  <si>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</si>
  <si>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</si>
  <si>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знесення дерев на кладовищах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</si>
  <si>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</si>
  <si>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</si>
  <si>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</si>
  <si>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</si>
  <si>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</si>
  <si>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</si>
  <si>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</si>
  <si>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>облаштування клумб, декоративних композицій та газонів</t>
  </si>
  <si>
    <t>на утримання та оновлення майна парків та скверів  (фінансова підтримка КП "Дирекція парків")</t>
  </si>
  <si>
    <t>1.2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</si>
  <si>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</si>
  <si>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</si>
  <si>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</si>
  <si>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ВИДАТКИ НА ЖИТЛОВО-КОМУНАЛЬНЕ ГОСПОДАРСТВО ЗА РАХУНОК КОШТІВ МІСЬКОГО БЮДЖЕТУ У 2020 РОЦІ</t>
  </si>
  <si>
    <t>забезпечення екологічного  безпечного збирання, перевезення, зберігання та утилізації відходів (фінансова підтримка КП "Черкаська служба чистоти")</t>
  </si>
  <si>
    <t>нагляд за станом електромереж та устаткування (фінансова підтримка КП "Міськсвітло")</t>
  </si>
  <si>
    <t>із них</t>
  </si>
  <si>
    <t>бюджет розвитку</t>
  </si>
  <si>
    <t>Експлуатаційне та технічне обслуговування житлового фонду</t>
  </si>
  <si>
    <t>Капітальний ремонт,  реконструкція житлового фонду  (крім ОСББ та ЖБК) (Програма співфінансування  капітального ремонту та реконструкції багатоквартирних житлових  будинків та їх прибудинкових територій (крім ОСББ та ЖБК) у місті Черкаси на 2019-2022 роки), в т.ч.:</t>
  </si>
  <si>
    <t>Забезпечення надійної та безперебійної експлуатації ліфтів</t>
  </si>
  <si>
    <t>Капітальний ремонт житлових будинків (ліфтів) (крім ОСББ та ЖБК) (Програма співфінансування  капітального ремонту та реконструкції багатоквартирних житлових  будинків та їх прибудинкових територій (крім ОСББ та ЖБК) у місті Черкаси на 2019-2022 роки)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</si>
  <si>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</si>
  <si>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</si>
  <si>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</si>
  <si>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</si>
  <si>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</si>
  <si>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</si>
  <si>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</si>
  <si>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</si>
  <si>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</si>
  <si>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</si>
  <si>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</si>
  <si>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4.</t>
  </si>
  <si>
    <t>4.1</t>
  </si>
  <si>
    <t>5.</t>
  </si>
  <si>
    <t>5.1</t>
  </si>
  <si>
    <t>Організація місць відпочинку на комунальних пляжах міста, в т.ч.:</t>
  </si>
  <si>
    <t>3.14</t>
  </si>
  <si>
    <t>Придбання та встановлення обладнання для дитячого майданчика у дворі будників Хрещатик 130, Пушкіна 39 у м.Черкаси</t>
  </si>
  <si>
    <t xml:space="preserve">Придбання та встановлення обладнання для дитячого майданчика у дворі будників 23, 27 по вул. Вернигори в м. Черкаси </t>
  </si>
  <si>
    <t xml:space="preserve">Придбання та встановлення обладнання для дитячого майданчика у дворі будників 25, 29, 31 по вул. Вернигори та будинку №1 по вул. Десантників </t>
  </si>
  <si>
    <t>Капітальний ремонт, реконструкція житлового фонду ОСББ  (Програма підтримки об'єднань співвласників багатоквартирних будинків (ОСББ, асоціацій ОСББ) у м. Черкаси "Формування відповідального власника житла" на 2019-2020 роки), на умовах співфінансування</t>
  </si>
  <si>
    <t xml:space="preserve">% виконання </t>
  </si>
  <si>
    <t>утримання газонів на бульварі Шевченка та вулицях міста</t>
  </si>
  <si>
    <t>Капітальний ремонт прибудинкової території житлового будинку по вул. В. Чорновола, 122/41 в м.Черкаси</t>
  </si>
  <si>
    <t xml:space="preserve">Капітальний ремонт системи опалення  житлового будинку (встановлення циркуляційного насосу з погодженим регулятором температури)  по вул. В. Чорновола, 9 м.Черкаси </t>
  </si>
  <si>
    <t>Капітальний ремонт  житлового будинку  по вул. Благовісна,180 (покрівля)</t>
  </si>
  <si>
    <t>утримання меморіального комплксу "Пагорб Слави" (фінансова підтримка КП "Комбінат комунальних підприємств")</t>
  </si>
  <si>
    <t xml:space="preserve">Придбання та встановлення обладнання для дитячого майданчика за адресою  по вул. Хрещак 55 у м.Черкаси </t>
  </si>
  <si>
    <t>Разом видатків на поточний рік, грн</t>
  </si>
  <si>
    <t>Загальний фонд, грн</t>
  </si>
  <si>
    <t>Спеціальний фонд, грн</t>
  </si>
  <si>
    <t>3.13</t>
  </si>
  <si>
    <t>Капітальний ремонт скверу "Весна"</t>
  </si>
  <si>
    <t>Профінансовано станом на 31.08.2020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</si>
</sst>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#,##0.00\ _₽"/>
  </numFmts>
  <fonts count="32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6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2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4" fillId="22" borderId="2" applyNumberFormat="0" applyAlignment="0" applyProtection="0"/>
    <xf numFmtId="0" fontId="9" fillId="22" borderId="1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30" fillId="0" borderId="0">
      <alignment vertical="top"/>
    </xf>
    <xf numFmtId="0" fontId="6" fillId="0" borderId="3" applyNumberFormat="0" applyFill="0" applyAlignment="0" applyProtection="0"/>
    <xf numFmtId="0" fontId="10" fillId="13" borderId="0" applyNumberFormat="0" applyBorder="0" applyAlignment="0" applyProtection="0"/>
    <xf numFmtId="0" fontId="1" fillId="0" borderId="0"/>
    <xf numFmtId="0" fontId="2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" fillId="0" borderId="0"/>
    <xf numFmtId="0" fontId="8" fillId="0" borderId="0"/>
    <xf numFmtId="0" fontId="12" fillId="0" borderId="0"/>
    <xf numFmtId="0" fontId="31" fillId="0" borderId="0"/>
    <xf numFmtId="0" fontId="13" fillId="0" borderId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10" borderId="4" applyNumberFormat="0" applyFont="0" applyAlignment="0" applyProtection="0"/>
    <xf numFmtId="0" fontId="11" fillId="0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Fill="1"/>
    <xf numFmtId="0" fontId="1" fillId="0" borderId="0" xfId="0" applyFont="1" applyFill="1"/>
    <xf numFmtId="0" fontId="15" fillId="0" borderId="0" xfId="0" applyFont="1" applyFill="1"/>
    <xf numFmtId="0" fontId="2" fillId="0" borderId="0" xfId="0" applyFont="1" applyFill="1"/>
    <xf numFmtId="0" fontId="21" fillId="0" borderId="0" xfId="0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0" fontId="26" fillId="23" borderId="6" xfId="0" applyFont="1" applyFill="1" applyBorder="1" applyAlignment="1">
      <alignment horizontal="left" vertical="center" wrapText="1" readingOrder="1"/>
    </xf>
    <xf numFmtId="0" fontId="25" fillId="23" borderId="6" xfId="0" applyFont="1" applyFill="1" applyBorder="1" applyAlignment="1">
      <alignment horizontal="left" vertical="center" wrapText="1" readingOrder="1"/>
    </xf>
    <xf numFmtId="0" fontId="18" fillId="23" borderId="6" xfId="0" applyFont="1" applyFill="1" applyBorder="1" applyAlignment="1">
      <alignment horizontal="left" vertical="center" wrapText="1" readingOrder="1"/>
    </xf>
    <xf numFmtId="0" fontId="24" fillId="24" borderId="6" xfId="0" applyFont="1" applyFill="1" applyBorder="1" applyAlignment="1">
      <alignment horizontal="left" vertical="center" wrapText="1" readingOrder="1"/>
    </xf>
    <xf numFmtId="0" fontId="27" fillId="23" borderId="6" xfId="0" applyFont="1" applyFill="1" applyBorder="1" applyAlignment="1">
      <alignment horizontal="left" vertical="center" wrapText="1" readingOrder="1"/>
    </xf>
    <xf numFmtId="49" fontId="19" fillId="0" borderId="5" xfId="0" applyNumberFormat="1" applyFont="1" applyFill="1" applyBorder="1" applyAlignment="1">
      <alignment horizontal="center" vertical="center"/>
    </xf>
    <xf numFmtId="0" fontId="24" fillId="24" borderId="5" xfId="0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>
      <alignment horizontal="left" vertical="center" wrapText="1" readingOrder="1"/>
    </xf>
    <xf numFmtId="0" fontId="2" fillId="23" borderId="0" xfId="0" applyFont="1" applyFill="1"/>
    <xf numFmtId="0" fontId="1" fillId="23" borderId="0" xfId="0" applyFont="1" applyFill="1"/>
    <xf numFmtId="167" fontId="22" fillId="0" borderId="5" xfId="0" applyNumberFormat="1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/>
    </xf>
    <xf numFmtId="0" fontId="25" fillId="25" borderId="6" xfId="0" applyFont="1" applyFill="1" applyBorder="1" applyAlignment="1">
      <alignment horizontal="left" vertical="center" wrapText="1" readingOrder="1"/>
    </xf>
    <xf numFmtId="167" fontId="22" fillId="0" borderId="7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8" fillId="25" borderId="0" xfId="0" applyFont="1" applyFill="1" applyBorder="1" applyAlignment="1">
      <alignment horizontal="center" wrapText="1"/>
    </xf>
    <xf numFmtId="0" fontId="27" fillId="23" borderId="8" xfId="0" applyFont="1" applyFill="1" applyBorder="1" applyAlignment="1">
      <alignment horizontal="left" vertical="center" wrapText="1" readingOrder="1"/>
    </xf>
    <xf numFmtId="0" fontId="24" fillId="24" borderId="9" xfId="0" applyFont="1" applyFill="1" applyBorder="1" applyAlignment="1">
      <alignment horizontal="left" vertical="center" wrapText="1" readingOrder="1"/>
    </xf>
    <xf numFmtId="167" fontId="24" fillId="24" borderId="10" xfId="0" applyNumberFormat="1" applyFont="1" applyFill="1" applyBorder="1" applyAlignment="1">
      <alignment horizontal="center" vertical="center" wrapText="1" readingOrder="1"/>
    </xf>
    <xf numFmtId="167" fontId="26" fillId="0" borderId="11" xfId="0" applyNumberFormat="1" applyFont="1" applyFill="1" applyBorder="1" applyAlignment="1">
      <alignment horizontal="center" vertical="center" wrapText="1" readingOrder="1"/>
    </xf>
    <xf numFmtId="167" fontId="26" fillId="0" borderId="12" xfId="0" applyNumberFormat="1" applyFont="1" applyFill="1" applyBorder="1" applyAlignment="1">
      <alignment horizontal="center" vertical="center" wrapText="1" readingOrder="1"/>
    </xf>
    <xf numFmtId="167" fontId="25" fillId="0" borderId="11" xfId="0" applyNumberFormat="1" applyFont="1" applyFill="1" applyBorder="1" applyAlignment="1">
      <alignment horizontal="center" vertical="center" wrapText="1" readingOrder="1"/>
    </xf>
    <xf numFmtId="167" fontId="25" fillId="0" borderId="5" xfId="0" applyNumberFormat="1" applyFont="1" applyFill="1" applyBorder="1" applyAlignment="1">
      <alignment horizontal="center" vertical="center" wrapText="1" readingOrder="1"/>
    </xf>
    <xf numFmtId="167" fontId="26" fillId="23" borderId="13" xfId="0" applyNumberFormat="1" applyFont="1" applyFill="1" applyBorder="1" applyAlignment="1">
      <alignment horizontal="center" vertical="center" wrapText="1" readingOrder="1"/>
    </xf>
    <xf numFmtId="167" fontId="26" fillId="23" borderId="12" xfId="0" applyNumberFormat="1" applyFont="1" applyFill="1" applyBorder="1" applyAlignment="1">
      <alignment horizontal="center" vertical="center" wrapText="1" readingOrder="1"/>
    </xf>
    <xf numFmtId="167" fontId="27" fillId="23" borderId="12" xfId="0" applyNumberFormat="1" applyFont="1" applyFill="1" applyBorder="1" applyAlignment="1">
      <alignment horizontal="center" vertical="center" wrapText="1" readingOrder="1"/>
    </xf>
    <xf numFmtId="167" fontId="26" fillId="23" borderId="11" xfId="0" applyNumberFormat="1" applyFont="1" applyFill="1" applyBorder="1" applyAlignment="1">
      <alignment horizontal="center" vertical="center" wrapText="1" readingOrder="1"/>
    </xf>
    <xf numFmtId="167" fontId="22" fillId="0" borderId="5" xfId="0" applyNumberFormat="1" applyFont="1" applyFill="1" applyBorder="1" applyAlignment="1">
      <alignment horizontal="center"/>
    </xf>
    <xf numFmtId="167" fontId="2" fillId="0" borderId="5" xfId="0" applyNumberFormat="1" applyFont="1" applyFill="1" applyBorder="1" applyAlignment="1">
      <alignment horizontal="center" vertical="center"/>
    </xf>
    <xf numFmtId="167" fontId="27" fillId="25" borderId="12" xfId="0" applyNumberFormat="1" applyFont="1" applyFill="1" applyBorder="1" applyAlignment="1">
      <alignment horizontal="center" vertical="center" wrapText="1" readingOrder="1"/>
    </xf>
    <xf numFmtId="167" fontId="17" fillId="23" borderId="12" xfId="0" applyNumberFormat="1" applyFont="1" applyFill="1" applyBorder="1" applyAlignment="1">
      <alignment horizontal="center" vertical="center" wrapText="1" readingOrder="1"/>
    </xf>
    <xf numFmtId="167" fontId="24" fillId="24" borderId="12" xfId="0" applyNumberFormat="1" applyFont="1" applyFill="1" applyBorder="1" applyAlignment="1">
      <alignment horizontal="center" vertical="center" wrapText="1" readingOrder="1"/>
    </xf>
    <xf numFmtId="167" fontId="18" fillId="23" borderId="12" xfId="0" applyNumberFormat="1" applyFont="1" applyFill="1" applyBorder="1" applyAlignment="1">
      <alignment horizontal="center" vertical="center" wrapText="1" readingOrder="1"/>
    </xf>
    <xf numFmtId="167" fontId="28" fillId="25" borderId="5" xfId="0" applyNumberFormat="1" applyFont="1" applyFill="1" applyBorder="1" applyAlignment="1">
      <alignment horizontal="center" vertical="center" wrapText="1" readingOrder="1"/>
    </xf>
    <xf numFmtId="167" fontId="28" fillId="25" borderId="0" xfId="0" applyNumberFormat="1" applyFont="1" applyFill="1" applyBorder="1" applyAlignment="1">
      <alignment horizontal="center" vertical="center" wrapText="1" readingOrder="1"/>
    </xf>
    <xf numFmtId="0" fontId="0" fillId="0" borderId="14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left" vertical="center" wrapText="1" readingOrder="1"/>
    </xf>
    <xf numFmtId="0" fontId="18" fillId="23" borderId="8" xfId="0" applyFont="1" applyFill="1" applyBorder="1" applyAlignment="1">
      <alignment horizontal="left" vertical="center" wrapText="1" readingOrder="1"/>
    </xf>
    <xf numFmtId="0" fontId="25" fillId="23" borderId="8" xfId="0" applyFont="1" applyFill="1" applyBorder="1" applyAlignment="1">
      <alignment horizontal="left" vertical="center" wrapText="1" readingOrder="1"/>
    </xf>
    <xf numFmtId="0" fontId="0" fillId="0" borderId="5" xfId="0" applyBorder="1" applyAlignment="1">
      <alignment horizontal="center" vertical="center" wrapText="1" readingOrder="1"/>
    </xf>
    <xf numFmtId="167" fontId="27" fillId="23" borderId="5" xfId="0" applyNumberFormat="1" applyFont="1" applyFill="1" applyBorder="1" applyAlignment="1">
      <alignment horizontal="center" vertical="center" wrapText="1" readingOrder="1"/>
    </xf>
    <xf numFmtId="0" fontId="22" fillId="0" borderId="5" xfId="0" applyFont="1" applyBorder="1" applyAlignment="1">
      <alignment horizontal="center" vertical="center" wrapText="1" readingOrder="1"/>
    </xf>
    <xf numFmtId="167" fontId="18" fillId="23" borderId="5" xfId="0" applyNumberFormat="1" applyFont="1" applyFill="1" applyBorder="1" applyAlignment="1">
      <alignment horizontal="center" vertical="center" wrapText="1" readingOrder="1"/>
    </xf>
    <xf numFmtId="167" fontId="0" fillId="0" borderId="5" xfId="0" applyNumberFormat="1" applyBorder="1" applyAlignment="1">
      <alignment horizontal="center" vertical="center" wrapText="1" readingOrder="1"/>
    </xf>
    <xf numFmtId="167" fontId="22" fillId="0" borderId="5" xfId="0" applyNumberFormat="1" applyFont="1" applyBorder="1" applyAlignment="1">
      <alignment horizontal="center" vertical="center" wrapText="1" readingOrder="1"/>
    </xf>
    <xf numFmtId="167" fontId="25" fillId="23" borderId="5" xfId="0" applyNumberFormat="1" applyFont="1" applyFill="1" applyBorder="1" applyAlignment="1">
      <alignment horizontal="center" vertical="center" wrapText="1" readingOrder="1"/>
    </xf>
    <xf numFmtId="49" fontId="24" fillId="24" borderId="5" xfId="0" applyNumberFormat="1" applyFont="1" applyFill="1" applyBorder="1" applyAlignment="1">
      <alignment horizontal="center" vertical="center"/>
    </xf>
    <xf numFmtId="0" fontId="24" fillId="24" borderId="5" xfId="0" applyFont="1" applyFill="1" applyBorder="1" applyAlignment="1">
      <alignment horizontal="left" vertical="center" wrapText="1"/>
    </xf>
    <xf numFmtId="0" fontId="0" fillId="0" borderId="5" xfId="0" applyFill="1" applyBorder="1"/>
    <xf numFmtId="0" fontId="1" fillId="0" borderId="5" xfId="0" applyFont="1" applyFill="1" applyBorder="1"/>
    <xf numFmtId="0" fontId="29" fillId="26" borderId="5" xfId="0" applyFont="1" applyFill="1" applyBorder="1"/>
    <xf numFmtId="167" fontId="24" fillId="26" borderId="12" xfId="0" applyNumberFormat="1" applyFont="1" applyFill="1" applyBorder="1" applyAlignment="1">
      <alignment horizontal="center" vertical="center" wrapText="1" readingOrder="1"/>
    </xf>
    <xf numFmtId="4" fontId="2" fillId="25" borderId="5" xfId="48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0" xfId="0" applyNumberFormat="1" applyFont="1" applyFill="1"/>
    <xf numFmtId="4" fontId="29" fillId="26" borderId="5" xfId="0" applyNumberFormat="1" applyFont="1" applyFill="1" applyBorder="1" applyAlignment="1">
      <alignment horizontal="center" vertical="center" readingOrder="1"/>
    </xf>
    <xf numFmtId="4" fontId="29" fillId="26" borderId="5" xfId="0" applyNumberFormat="1" applyFont="1" applyFill="1" applyBorder="1" applyAlignment="1">
      <alignment horizontal="center" vertical="center" wrapText="1" readingOrder="1"/>
    </xf>
    <xf numFmtId="0" fontId="29" fillId="26" borderId="5" xfId="0" applyFont="1" applyFill="1" applyBorder="1" applyAlignment="1">
      <alignment horizontal="center" vertical="center" wrapText="1" readingOrder="1"/>
    </xf>
    <xf numFmtId="167" fontId="24" fillId="26" borderId="5" xfId="0" applyNumberFormat="1" applyFont="1" applyFill="1" applyBorder="1" applyAlignment="1">
      <alignment horizontal="center" vertical="center" wrapText="1" readingOrder="1"/>
    </xf>
    <xf numFmtId="167" fontId="29" fillId="26" borderId="5" xfId="0" applyNumberFormat="1" applyFont="1" applyFill="1" applyBorder="1" applyAlignment="1">
      <alignment horizontal="center" vertical="center" wrapText="1"/>
    </xf>
    <xf numFmtId="166" fontId="0" fillId="0" borderId="5" xfId="0" applyNumberFormat="1" applyFill="1" applyBorder="1" applyAlignment="1">
      <alignment horizontal="center" vertical="center"/>
    </xf>
    <xf numFmtId="167" fontId="29" fillId="26" borderId="5" xfId="0" applyNumberFormat="1" applyFont="1" applyFill="1" applyBorder="1" applyAlignment="1">
      <alignment horizontal="center" vertical="center"/>
    </xf>
    <xf numFmtId="167" fontId="0" fillId="0" borderId="5" xfId="0" applyNumberFormat="1" applyFill="1" applyBorder="1" applyAlignment="1">
      <alignment horizontal="center" vertical="center"/>
    </xf>
    <xf numFmtId="166" fontId="29" fillId="26" borderId="5" xfId="0" applyNumberFormat="1" applyFont="1" applyFill="1" applyBorder="1" applyAlignment="1">
      <alignment horizontal="center" vertical="center"/>
    </xf>
    <xf numFmtId="166" fontId="29" fillId="26" borderId="5" xfId="0" applyNumberFormat="1" applyFont="1" applyFill="1" applyBorder="1" applyAlignment="1">
      <alignment horizontal="center" vertical="center" readingOrder="1"/>
    </xf>
    <xf numFmtId="166" fontId="2" fillId="0" borderId="5" xfId="0" applyNumberFormat="1" applyFont="1" applyFill="1" applyBorder="1" applyAlignment="1">
      <alignment horizontal="center" vertical="center"/>
    </xf>
    <xf numFmtId="166" fontId="29" fillId="0" borderId="5" xfId="0" applyNumberFormat="1" applyFont="1" applyFill="1" applyBorder="1" applyAlignment="1">
      <alignment horizontal="center" vertical="center"/>
    </xf>
    <xf numFmtId="166" fontId="22" fillId="0" borderId="5" xfId="0" applyNumberFormat="1" applyFont="1" applyFill="1" applyBorder="1" applyAlignment="1">
      <alignment horizontal="center" vertical="center"/>
    </xf>
    <xf numFmtId="0" fontId="29" fillId="0" borderId="0" xfId="0" applyFont="1" applyFill="1"/>
    <xf numFmtId="167" fontId="22" fillId="0" borderId="5" xfId="0" applyNumberFormat="1" applyFont="1" applyFill="1" applyBorder="1"/>
    <xf numFmtId="167" fontId="0" fillId="25" borderId="5" xfId="0" applyNumberForma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28" fillId="25" borderId="17" xfId="0" applyFont="1" applyFill="1" applyBorder="1" applyAlignment="1">
      <alignment horizontal="center" wrapText="1"/>
    </xf>
    <xf numFmtId="0" fontId="28" fillId="25" borderId="18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readingOrder="1"/>
    </xf>
    <xf numFmtId="0" fontId="17" fillId="0" borderId="20" xfId="0" applyFont="1" applyFill="1" applyBorder="1" applyAlignment="1">
      <alignment horizontal="center" vertical="center" readingOrder="1"/>
    </xf>
    <xf numFmtId="0" fontId="17" fillId="0" borderId="16" xfId="0" applyFont="1" applyFill="1" applyBorder="1" applyAlignment="1">
      <alignment horizontal="center" vertical="center" wrapText="1" readingOrder="1"/>
    </xf>
    <xf numFmtId="0" fontId="17" fillId="0" borderId="14" xfId="0" applyFont="1" applyFill="1" applyBorder="1" applyAlignment="1">
      <alignment horizontal="center" vertical="center" wrapText="1" readingOrder="1"/>
    </xf>
  </cellXfs>
  <cellStyles count="6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ывод" xfId="26"/>
    <cellStyle name="Вычисление" xfId="27"/>
    <cellStyle name="Звичайний 10" xfId="28"/>
    <cellStyle name="Звичайний 11" xfId="29"/>
    <cellStyle name="Звичайний 12" xfId="30"/>
    <cellStyle name="Звичайний 13" xfId="31"/>
    <cellStyle name="Звичайний 14" xfId="32"/>
    <cellStyle name="Звичайний 15" xfId="33"/>
    <cellStyle name="Звичайний 16" xfId="34"/>
    <cellStyle name="Звичайний 17" xfId="35"/>
    <cellStyle name="Звичайний 18" xfId="36"/>
    <cellStyle name="Звичайний 19" xfId="37"/>
    <cellStyle name="Звичайний 2" xfId="38"/>
    <cellStyle name="Звичайний 20" xfId="39"/>
    <cellStyle name="Звичайний 3" xfId="40"/>
    <cellStyle name="Звичайний 4" xfId="41"/>
    <cellStyle name="Звичайний 5" xfId="42"/>
    <cellStyle name="Звичайний 6" xfId="43"/>
    <cellStyle name="Звичайний 7" xfId="44"/>
    <cellStyle name="Звичайний 8" xfId="45"/>
    <cellStyle name="Звичайний 9" xfId="46"/>
    <cellStyle name="Звичайний_Xl0000125" xfId="47"/>
    <cellStyle name="Звичайний_Додаток _ 3 зм_ни 4575" xfId="48"/>
    <cellStyle name="Итог" xfId="49"/>
    <cellStyle name="Нейтральный" xfId="50"/>
    <cellStyle name="Обычный" xfId="0" builtinId="0"/>
    <cellStyle name="Обычный 10" xfId="51"/>
    <cellStyle name="Обычный 16" xfId="52"/>
    <cellStyle name="Обычный 18" xfId="53"/>
    <cellStyle name="Обычный 2" xfId="54"/>
    <cellStyle name="Обычный 2 2" xfId="55"/>
    <cellStyle name="Обычный 2 8" xfId="56"/>
    <cellStyle name="Обычный 2_дод. 9" xfId="57"/>
    <cellStyle name="Обычный 3" xfId="58"/>
    <cellStyle name="Обычный 3 2" xfId="59"/>
    <cellStyle name="Обычный 4" xfId="60"/>
    <cellStyle name="Обычный 5" xfId="61"/>
    <cellStyle name="Обычный 9 2" xfId="62"/>
    <cellStyle name="Плохой" xfId="63"/>
    <cellStyle name="Пояснение" xfId="64"/>
    <cellStyle name="Примечание" xfId="65"/>
    <cellStyle name="Стиль 1" xfId="66"/>
    <cellStyle name="Тысячи [0]_Розподіл (2)" xfId="67"/>
    <cellStyle name="Тысячи_Розподіл (2)" xfId="6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topLeftCell="B37" zoomScale="117" zoomScaleNormal="117" workbookViewId="0">
      <selection activeCell="E41" sqref="E41"/>
    </sheetView>
  </sheetViews>
  <sheetFormatPr defaultColWidth="8.69921875" defaultRowHeight="13" x14ac:dyDescent="0.3"/>
  <cols>
    <col min="1" max="1" width="8.296875" style="1" customWidth="1"/>
    <col min="2" max="2" width="48" style="2" customWidth="1"/>
    <col min="3" max="3" width="20.296875" style="4" customWidth="1"/>
    <col min="4" max="4" width="23.296875" style="4" customWidth="1"/>
    <col min="5" max="5" width="20.19921875" style="1" customWidth="1"/>
    <col min="6" max="6" width="19.296875" style="1" customWidth="1"/>
    <col min="7" max="7" width="19.19921875" style="1" customWidth="1"/>
    <col min="8" max="8" width="14.296875" style="1" customWidth="1"/>
    <col min="9" max="16384" width="8.69921875" style="1"/>
  </cols>
  <sheetData>
    <row r="1" spans="1:8" ht="84.65" customHeight="1" x14ac:dyDescent="0.3">
      <c r="E1" s="88"/>
      <c r="F1" s="88"/>
    </row>
    <row r="2" spans="1:8" ht="21" customHeight="1" x14ac:dyDescent="0.3">
      <c r="B2" s="5"/>
    </row>
    <row r="3" spans="1:8" ht="14" x14ac:dyDescent="0.3">
      <c r="A3" s="91" t="s">
        <v>48</v>
      </c>
      <c r="B3" s="91"/>
      <c r="C3" s="91"/>
      <c r="D3" s="91"/>
      <c r="E3" s="91"/>
      <c r="F3" s="91"/>
    </row>
    <row r="4" spans="1:8" ht="16.399999999999999" customHeight="1" x14ac:dyDescent="0.3">
      <c r="B4" s="5"/>
    </row>
    <row r="5" spans="1:8" ht="19.399999999999999" customHeight="1" x14ac:dyDescent="0.3">
      <c r="A5" s="94" t="s">
        <v>27</v>
      </c>
      <c r="B5" s="96" t="s">
        <v>28</v>
      </c>
      <c r="C5" s="98" t="s">
        <v>85</v>
      </c>
      <c r="D5" s="98" t="s">
        <v>86</v>
      </c>
      <c r="E5" s="89" t="s">
        <v>87</v>
      </c>
      <c r="F5" s="47" t="s">
        <v>51</v>
      </c>
      <c r="G5" s="84" t="s">
        <v>90</v>
      </c>
      <c r="H5" s="86" t="s">
        <v>78</v>
      </c>
    </row>
    <row r="6" spans="1:8" ht="26.5" customHeight="1" x14ac:dyDescent="0.3">
      <c r="A6" s="95"/>
      <c r="B6" s="97"/>
      <c r="C6" s="99"/>
      <c r="D6" s="99"/>
      <c r="E6" s="90"/>
      <c r="F6" s="48" t="s">
        <v>52</v>
      </c>
      <c r="G6" s="85"/>
      <c r="H6" s="87"/>
    </row>
    <row r="7" spans="1:8" ht="37.75" customHeight="1" x14ac:dyDescent="0.3">
      <c r="A7" s="14">
        <v>1</v>
      </c>
      <c r="B7" s="49" t="s">
        <v>53</v>
      </c>
      <c r="C7" s="69">
        <f>D7+E7</f>
        <v>26338000</v>
      </c>
      <c r="D7" s="70"/>
      <c r="E7" s="71">
        <f>E8+E12</f>
        <v>26338000</v>
      </c>
      <c r="F7" s="71">
        <f>F8+F12</f>
        <v>26338000</v>
      </c>
      <c r="G7" s="74">
        <f>G8+G9+G10+G12</f>
        <v>4141440.08</v>
      </c>
      <c r="H7" s="76">
        <f t="shared" ref="H7:H54" si="0">(G7/C7)*100</f>
        <v>15.724201078289923</v>
      </c>
    </row>
    <row r="8" spans="1:8" ht="76.75" customHeight="1" x14ac:dyDescent="0.3">
      <c r="A8" s="7" t="s">
        <v>21</v>
      </c>
      <c r="B8" s="50" t="s">
        <v>54</v>
      </c>
      <c r="C8" s="56">
        <f t="shared" ref="C8:C12" si="1">E8+D8</f>
        <v>1938000</v>
      </c>
      <c r="D8" s="52"/>
      <c r="E8" s="55">
        <f t="shared" ref="E8:E12" si="2">F8</f>
        <v>1938000</v>
      </c>
      <c r="F8" s="55">
        <f>F9+F10+F11+1000000</f>
        <v>1938000</v>
      </c>
      <c r="G8" s="75">
        <f>G11</f>
        <v>239416.41</v>
      </c>
      <c r="H8" s="73">
        <f t="shared" si="0"/>
        <v>12.353787925696595</v>
      </c>
    </row>
    <row r="9" spans="1:8" ht="37.5" customHeight="1" x14ac:dyDescent="0.3">
      <c r="A9" s="46"/>
      <c r="B9" s="51" t="s">
        <v>80</v>
      </c>
      <c r="C9" s="57">
        <f t="shared" si="1"/>
        <v>393000</v>
      </c>
      <c r="D9" s="54"/>
      <c r="E9" s="58">
        <f t="shared" si="2"/>
        <v>393000</v>
      </c>
      <c r="F9" s="53">
        <v>393000</v>
      </c>
      <c r="G9" s="75"/>
      <c r="H9" s="80">
        <f t="shared" si="0"/>
        <v>0</v>
      </c>
    </row>
    <row r="10" spans="1:8" ht="53.15" customHeight="1" x14ac:dyDescent="0.3">
      <c r="A10" s="46"/>
      <c r="B10" s="51" t="s">
        <v>81</v>
      </c>
      <c r="C10" s="57">
        <f t="shared" si="1"/>
        <v>300000</v>
      </c>
      <c r="D10" s="54"/>
      <c r="E10" s="58">
        <f t="shared" si="2"/>
        <v>300000</v>
      </c>
      <c r="F10" s="53">
        <v>300000</v>
      </c>
      <c r="G10" s="75"/>
      <c r="H10" s="80">
        <f t="shared" si="0"/>
        <v>0</v>
      </c>
    </row>
    <row r="11" spans="1:8" ht="37.5" customHeight="1" x14ac:dyDescent="0.3">
      <c r="A11" s="46"/>
      <c r="B11" s="51" t="s">
        <v>82</v>
      </c>
      <c r="C11" s="57">
        <f t="shared" si="1"/>
        <v>245000</v>
      </c>
      <c r="D11" s="54"/>
      <c r="E11" s="58">
        <f t="shared" si="2"/>
        <v>245000</v>
      </c>
      <c r="F11" s="53">
        <v>245000</v>
      </c>
      <c r="G11" s="18">
        <v>239416.41</v>
      </c>
      <c r="H11" s="80">
        <f t="shared" si="0"/>
        <v>97.720983673469391</v>
      </c>
    </row>
    <row r="12" spans="1:8" ht="77.5" customHeight="1" x14ac:dyDescent="0.3">
      <c r="A12" s="7" t="s">
        <v>44</v>
      </c>
      <c r="B12" s="50" t="s">
        <v>77</v>
      </c>
      <c r="C12" s="56">
        <f t="shared" si="1"/>
        <v>24400000</v>
      </c>
      <c r="D12" s="52"/>
      <c r="E12" s="55">
        <f t="shared" si="2"/>
        <v>24400000</v>
      </c>
      <c r="F12" s="55">
        <f>15000000+10000000-600000</f>
        <v>24400000</v>
      </c>
      <c r="G12" s="83">
        <v>3902023.67</v>
      </c>
      <c r="H12" s="73">
        <f t="shared" si="0"/>
        <v>15.991900286885247</v>
      </c>
    </row>
    <row r="13" spans="1:8" ht="43.75" customHeight="1" x14ac:dyDescent="0.3">
      <c r="A13" s="59" t="s">
        <v>32</v>
      </c>
      <c r="B13" s="60" t="s">
        <v>55</v>
      </c>
      <c r="C13" s="72">
        <f>D13+E13</f>
        <v>3800000</v>
      </c>
      <c r="D13" s="70"/>
      <c r="E13" s="72">
        <f>E14</f>
        <v>3800000</v>
      </c>
      <c r="F13" s="72">
        <f>F14</f>
        <v>3800000</v>
      </c>
      <c r="G13" s="74">
        <f>G14</f>
        <v>0</v>
      </c>
      <c r="H13" s="76">
        <f t="shared" si="0"/>
        <v>0</v>
      </c>
    </row>
    <row r="14" spans="1:8" ht="74.5" customHeight="1" x14ac:dyDescent="0.3">
      <c r="A14" s="7" t="s">
        <v>39</v>
      </c>
      <c r="B14" s="50" t="s">
        <v>56</v>
      </c>
      <c r="C14" s="56">
        <f>E14+D14</f>
        <v>3800000</v>
      </c>
      <c r="D14" s="52"/>
      <c r="E14" s="55">
        <f>F14</f>
        <v>3800000</v>
      </c>
      <c r="F14" s="55">
        <f>5000000-1200000</f>
        <v>3800000</v>
      </c>
      <c r="G14" s="75"/>
      <c r="H14" s="73">
        <f t="shared" si="0"/>
        <v>0</v>
      </c>
    </row>
    <row r="15" spans="1:8" s="3" customFormat="1" ht="34.4" customHeight="1" x14ac:dyDescent="0.35">
      <c r="A15" s="14" t="s">
        <v>33</v>
      </c>
      <c r="B15" s="28" t="s">
        <v>30</v>
      </c>
      <c r="C15" s="29">
        <f t="shared" ref="C15:C43" si="3">D15+E15</f>
        <v>76257508.760000005</v>
      </c>
      <c r="D15" s="29">
        <f>D16+D22+D29+D33+D39+D41+D44+D48+D51+D54</f>
        <v>74775328.530000001</v>
      </c>
      <c r="E15" s="68">
        <f>F15</f>
        <v>1482180.23</v>
      </c>
      <c r="F15" s="68">
        <f>F56+F57+F58+F55+F44</f>
        <v>1482180.23</v>
      </c>
      <c r="G15" s="29">
        <f>G16+G22+G29+G33+G39+G41+G44+G48+G51+G54+G56+G57+G58+G55</f>
        <v>44375939.600000009</v>
      </c>
      <c r="H15" s="77">
        <f t="shared" si="0"/>
        <v>58.192223063123315</v>
      </c>
    </row>
    <row r="16" spans="1:8" ht="26" x14ac:dyDescent="0.3">
      <c r="A16" s="13" t="s">
        <v>11</v>
      </c>
      <c r="B16" s="15" t="s">
        <v>40</v>
      </c>
      <c r="C16" s="30">
        <f t="shared" si="3"/>
        <v>22852434</v>
      </c>
      <c r="D16" s="31">
        <f>D17+D18+D19+D20+D21</f>
        <v>22852434</v>
      </c>
      <c r="E16" s="61"/>
      <c r="F16" s="61"/>
      <c r="G16" s="39">
        <f>G17+G18+G19+G20+G21</f>
        <v>13035462.42</v>
      </c>
      <c r="H16" s="78">
        <f t="shared" si="0"/>
        <v>57.041899431806698</v>
      </c>
    </row>
    <row r="17" spans="1:8" ht="26" x14ac:dyDescent="0.3">
      <c r="A17" s="6"/>
      <c r="B17" s="20" t="s">
        <v>46</v>
      </c>
      <c r="C17" s="32">
        <f t="shared" si="3"/>
        <v>5452680</v>
      </c>
      <c r="D17" s="32">
        <v>5452680</v>
      </c>
      <c r="E17" s="62"/>
      <c r="F17" s="62"/>
      <c r="G17" s="18">
        <f>401213+257306+190259+446380+147635+446575+20000+179245+501780+134475+450240+66080+252705</f>
        <v>3493893</v>
      </c>
      <c r="H17" s="80">
        <f t="shared" si="0"/>
        <v>64.076619203767692</v>
      </c>
    </row>
    <row r="18" spans="1:8" ht="14" x14ac:dyDescent="0.3">
      <c r="A18" s="6"/>
      <c r="B18" s="12" t="s">
        <v>19</v>
      </c>
      <c r="C18" s="32">
        <f t="shared" si="3"/>
        <v>13293766</v>
      </c>
      <c r="D18" s="32">
        <v>13293766</v>
      </c>
      <c r="E18" s="61"/>
      <c r="F18" s="61"/>
      <c r="G18" s="18">
        <f>1894053.92+1540358.88+1004768.71+744381.83+666627.56+601972.86+528855.22</f>
        <v>6981018.9800000004</v>
      </c>
      <c r="H18" s="80">
        <f t="shared" si="0"/>
        <v>52.513478723786776</v>
      </c>
    </row>
    <row r="19" spans="1:8" ht="26" x14ac:dyDescent="0.3">
      <c r="A19" s="6"/>
      <c r="B19" s="20" t="s">
        <v>47</v>
      </c>
      <c r="C19" s="32">
        <f t="shared" si="3"/>
        <v>1046719</v>
      </c>
      <c r="D19" s="32">
        <v>1046719</v>
      </c>
      <c r="E19" s="61"/>
      <c r="F19" s="61"/>
      <c r="G19" s="18">
        <f>35065.24+37721.96+6714.8+37505.24+45735.86+6714.8+37505.24+42416.59+37565.02+6717.65+37564.85+3520+37565.02+6715.22+37564.98+37565.02+6715.22+3520+41084.98+31862+7009.64+6717.66+31672.21+7009.36+3520+38987.41+6715.6+38945.38+3520</f>
        <v>681436.95</v>
      </c>
      <c r="H19" s="80">
        <f t="shared" si="0"/>
        <v>65.102185973503865</v>
      </c>
    </row>
    <row r="20" spans="1:8" ht="26" x14ac:dyDescent="0.3">
      <c r="A20" s="6"/>
      <c r="B20" s="20" t="s">
        <v>50</v>
      </c>
      <c r="C20" s="32">
        <f t="shared" si="3"/>
        <v>1359220</v>
      </c>
      <c r="D20" s="32">
        <v>1359220</v>
      </c>
      <c r="E20" s="61"/>
      <c r="F20" s="61"/>
      <c r="G20" s="18">
        <f>49644.23+35382.33+45744.83+39281.73+44056.76+40969.8+42513.05+29640+42518.9+42513.02+66237.93+55047.58+55034.61+58037.83+58247.63+62372.37+61977.49</f>
        <v>829220.09</v>
      </c>
      <c r="H20" s="80">
        <f t="shared" si="0"/>
        <v>61.007054781418759</v>
      </c>
    </row>
    <row r="21" spans="1:8" ht="14" x14ac:dyDescent="0.3">
      <c r="A21" s="6"/>
      <c r="B21" s="27" t="s">
        <v>3</v>
      </c>
      <c r="C21" s="33">
        <f t="shared" si="3"/>
        <v>1700049</v>
      </c>
      <c r="D21" s="33">
        <v>1700049</v>
      </c>
      <c r="E21" s="61"/>
      <c r="F21" s="61"/>
      <c r="G21" s="18">
        <f>146927.28+113814.47+21815.27+101714.27+21296.33+91600.73+34744.74+101100.1+127919.71+59997.29+89090.9+139872.31</f>
        <v>1049893.4000000001</v>
      </c>
      <c r="H21" s="80">
        <f t="shared" si="0"/>
        <v>61.756655249348704</v>
      </c>
    </row>
    <row r="22" spans="1:8" ht="26" x14ac:dyDescent="0.3">
      <c r="A22" s="13" t="s">
        <v>57</v>
      </c>
      <c r="B22" s="8" t="s">
        <v>22</v>
      </c>
      <c r="C22" s="34">
        <f t="shared" si="3"/>
        <v>12656559</v>
      </c>
      <c r="D22" s="35">
        <f>SUM(D23:D28)</f>
        <v>12656559</v>
      </c>
      <c r="E22" s="61"/>
      <c r="F22" s="61"/>
      <c r="G22" s="39">
        <f>G23+G24+G25+G26+G27+G28</f>
        <v>9584914</v>
      </c>
      <c r="H22" s="78">
        <f t="shared" si="0"/>
        <v>75.730804873583722</v>
      </c>
    </row>
    <row r="23" spans="1:8" ht="14" x14ac:dyDescent="0.3">
      <c r="A23" s="7"/>
      <c r="B23" s="12" t="s">
        <v>4</v>
      </c>
      <c r="C23" s="36">
        <f t="shared" si="3"/>
        <v>4000000</v>
      </c>
      <c r="D23" s="36">
        <v>4000000</v>
      </c>
      <c r="E23" s="61"/>
      <c r="F23" s="61"/>
      <c r="G23" s="18">
        <f>691100+103600+720500+695500+295500+400000</f>
        <v>2906200</v>
      </c>
      <c r="H23" s="80">
        <f t="shared" si="0"/>
        <v>72.655000000000001</v>
      </c>
    </row>
    <row r="24" spans="1:8" ht="14" x14ac:dyDescent="0.3">
      <c r="A24" s="7"/>
      <c r="B24" s="9" t="s">
        <v>35</v>
      </c>
      <c r="C24" s="36">
        <f t="shared" si="3"/>
        <v>200000</v>
      </c>
      <c r="D24" s="36">
        <v>200000</v>
      </c>
      <c r="E24" s="61"/>
      <c r="F24" s="61"/>
      <c r="G24" s="18">
        <v>197980</v>
      </c>
      <c r="H24" s="80">
        <f t="shared" si="0"/>
        <v>98.99</v>
      </c>
    </row>
    <row r="25" spans="1:8" ht="26" x14ac:dyDescent="0.3">
      <c r="A25" s="7"/>
      <c r="B25" s="9" t="s">
        <v>79</v>
      </c>
      <c r="C25" s="36">
        <f t="shared" si="3"/>
        <v>1000000</v>
      </c>
      <c r="D25" s="36">
        <v>1000000</v>
      </c>
      <c r="E25" s="61"/>
      <c r="F25" s="61"/>
      <c r="G25" s="18">
        <f>99750+189730+90245+49400+139645+49400+90245</f>
        <v>708415</v>
      </c>
      <c r="H25" s="80">
        <f t="shared" si="0"/>
        <v>70.841499999999996</v>
      </c>
    </row>
    <row r="26" spans="1:8" ht="14" x14ac:dyDescent="0.3">
      <c r="A26" s="7"/>
      <c r="B26" s="12" t="s">
        <v>5</v>
      </c>
      <c r="C26" s="36">
        <f t="shared" si="3"/>
        <v>950000</v>
      </c>
      <c r="D26" s="36">
        <v>950000</v>
      </c>
      <c r="E26" s="61"/>
      <c r="F26" s="61"/>
      <c r="G26" s="18">
        <f>91000+60100+90000+129980+150100+139900+20200</f>
        <v>681280</v>
      </c>
      <c r="H26" s="80">
        <f t="shared" si="0"/>
        <v>71.713684210526324</v>
      </c>
    </row>
    <row r="27" spans="1:8" ht="52" x14ac:dyDescent="0.3">
      <c r="A27" s="7"/>
      <c r="B27" s="12" t="s">
        <v>6</v>
      </c>
      <c r="C27" s="36">
        <f t="shared" si="3"/>
        <v>4800000</v>
      </c>
      <c r="D27" s="36">
        <v>4800000</v>
      </c>
      <c r="E27" s="61"/>
      <c r="F27" s="61"/>
      <c r="G27" s="18">
        <f>954078+143920+567715+235965+422650+144297+178565+154920+194139+80600+195570+190790+310050</f>
        <v>3773259</v>
      </c>
      <c r="H27" s="80">
        <f t="shared" si="0"/>
        <v>78.609562499999996</v>
      </c>
    </row>
    <row r="28" spans="1:8" ht="26" x14ac:dyDescent="0.3">
      <c r="A28" s="7"/>
      <c r="B28" s="9" t="s">
        <v>42</v>
      </c>
      <c r="C28" s="36">
        <f t="shared" si="3"/>
        <v>1706559</v>
      </c>
      <c r="D28" s="36">
        <v>1706559</v>
      </c>
      <c r="E28" s="61"/>
      <c r="F28" s="61"/>
      <c r="G28" s="18">
        <f>410000+165100+167520+291720+129220+154220</f>
        <v>1317780</v>
      </c>
      <c r="H28" s="80">
        <f t="shared" si="0"/>
        <v>77.218543279195146</v>
      </c>
    </row>
    <row r="29" spans="1:8" ht="26" x14ac:dyDescent="0.3">
      <c r="A29" s="13" t="s">
        <v>58</v>
      </c>
      <c r="B29" s="8" t="s">
        <v>23</v>
      </c>
      <c r="C29" s="37">
        <f t="shared" si="3"/>
        <v>1927752.07</v>
      </c>
      <c r="D29" s="35">
        <f>SUM(D30:D32)</f>
        <v>1927752.07</v>
      </c>
      <c r="E29" s="61"/>
      <c r="F29" s="61"/>
      <c r="G29" s="39">
        <f>G30+G31+G32</f>
        <v>662152.48</v>
      </c>
      <c r="H29" s="78">
        <f t="shared" si="0"/>
        <v>34.348425313842348</v>
      </c>
    </row>
    <row r="30" spans="1:8" ht="14" x14ac:dyDescent="0.3">
      <c r="A30" s="7"/>
      <c r="B30" s="12" t="s">
        <v>13</v>
      </c>
      <c r="C30" s="38">
        <f t="shared" si="3"/>
        <v>1391365.07</v>
      </c>
      <c r="D30" s="38">
        <f>1453192-61826.93</f>
        <v>1391365.07</v>
      </c>
      <c r="E30" s="61"/>
      <c r="F30" s="61"/>
      <c r="G30" s="18">
        <f>363745.16+185038.11</f>
        <v>548783.27</v>
      </c>
      <c r="H30" s="80">
        <f t="shared" si="0"/>
        <v>39.44207611881474</v>
      </c>
    </row>
    <row r="31" spans="1:8" ht="26" x14ac:dyDescent="0.3">
      <c r="A31" s="7"/>
      <c r="B31" s="12" t="s">
        <v>14</v>
      </c>
      <c r="C31" s="38">
        <f t="shared" si="3"/>
        <v>250037</v>
      </c>
      <c r="D31" s="18">
        <v>250037</v>
      </c>
      <c r="E31" s="61"/>
      <c r="F31" s="61"/>
      <c r="G31" s="18">
        <f>33382.89+50074.33</f>
        <v>83457.22</v>
      </c>
      <c r="H31" s="80">
        <f t="shared" si="0"/>
        <v>33.377948063686574</v>
      </c>
    </row>
    <row r="32" spans="1:8" ht="14" x14ac:dyDescent="0.3">
      <c r="A32" s="7"/>
      <c r="B32" s="12" t="s">
        <v>15</v>
      </c>
      <c r="C32" s="38">
        <f t="shared" si="3"/>
        <v>286350</v>
      </c>
      <c r="D32" s="38">
        <v>286350</v>
      </c>
      <c r="E32" s="61"/>
      <c r="F32" s="61"/>
      <c r="G32" s="18">
        <f>8620.19+21291.8</f>
        <v>29911.989999999998</v>
      </c>
      <c r="H32" s="80">
        <f t="shared" si="0"/>
        <v>10.445954251789766</v>
      </c>
    </row>
    <row r="33" spans="1:8" ht="14" x14ac:dyDescent="0.3">
      <c r="A33" s="13" t="s">
        <v>59</v>
      </c>
      <c r="B33" s="8" t="s">
        <v>7</v>
      </c>
      <c r="C33" s="37">
        <f t="shared" si="3"/>
        <v>6331199</v>
      </c>
      <c r="D33" s="35">
        <f>SUM(D34:D38)</f>
        <v>6331199</v>
      </c>
      <c r="E33" s="61"/>
      <c r="F33" s="61"/>
      <c r="G33" s="39">
        <f>G34+G35+G36+G37+G38</f>
        <v>3843648.9000000004</v>
      </c>
      <c r="H33" s="78">
        <f t="shared" si="0"/>
        <v>60.709652310723463</v>
      </c>
    </row>
    <row r="34" spans="1:8" ht="26" x14ac:dyDescent="0.3">
      <c r="A34" s="7"/>
      <c r="B34" s="9" t="s">
        <v>41</v>
      </c>
      <c r="C34" s="36">
        <f t="shared" si="3"/>
        <v>4126700</v>
      </c>
      <c r="D34" s="36">
        <f>3881700+245000</f>
        <v>4126700</v>
      </c>
      <c r="E34" s="61"/>
      <c r="F34" s="61"/>
      <c r="G34" s="18">
        <f>1990040.35+27491.74+4511+10900+209643.61</f>
        <v>2242586.7000000002</v>
      </c>
      <c r="H34" s="80">
        <f t="shared" si="0"/>
        <v>54.34334213778564</v>
      </c>
    </row>
    <row r="35" spans="1:8" ht="14" x14ac:dyDescent="0.3">
      <c r="A35" s="7"/>
      <c r="B35" s="9" t="s">
        <v>34</v>
      </c>
      <c r="C35" s="36">
        <f t="shared" si="3"/>
        <v>530000</v>
      </c>
      <c r="D35" s="36">
        <v>530000</v>
      </c>
      <c r="E35" s="61"/>
      <c r="F35" s="61"/>
      <c r="G35" s="18">
        <f>330100+199900</f>
        <v>530000</v>
      </c>
      <c r="H35" s="80">
        <f t="shared" si="0"/>
        <v>100</v>
      </c>
    </row>
    <row r="36" spans="1:8" ht="52" x14ac:dyDescent="0.3">
      <c r="A36" s="7"/>
      <c r="B36" s="9" t="s">
        <v>45</v>
      </c>
      <c r="C36" s="36">
        <f t="shared" si="3"/>
        <v>1592600</v>
      </c>
      <c r="D36" s="36">
        <v>1592600</v>
      </c>
      <c r="E36" s="61"/>
      <c r="F36" s="61"/>
      <c r="G36" s="18">
        <f>608886.23+38634.35+19700+75760.3+55365.27+102687.75+59986.69+54119.42</f>
        <v>1015140.0100000001</v>
      </c>
      <c r="H36" s="80">
        <f t="shared" si="0"/>
        <v>63.741052995102351</v>
      </c>
    </row>
    <row r="37" spans="1:8" ht="14" x14ac:dyDescent="0.3">
      <c r="A37" s="7"/>
      <c r="B37" s="12" t="s">
        <v>16</v>
      </c>
      <c r="C37" s="36">
        <f t="shared" si="3"/>
        <v>66700</v>
      </c>
      <c r="D37" s="36">
        <v>66700</v>
      </c>
      <c r="E37" s="61"/>
      <c r="F37" s="61"/>
      <c r="G37" s="18">
        <f>273.53+389.88+252.48+10926.24+9585.5+10795.87+13152.96</f>
        <v>45376.46</v>
      </c>
      <c r="H37" s="80">
        <f t="shared" si="0"/>
        <v>68.030674662668673</v>
      </c>
    </row>
    <row r="38" spans="1:8" ht="14" x14ac:dyDescent="0.3">
      <c r="A38" s="7"/>
      <c r="B38" s="12" t="s">
        <v>17</v>
      </c>
      <c r="C38" s="36">
        <f t="shared" si="3"/>
        <v>15199</v>
      </c>
      <c r="D38" s="36">
        <v>15199</v>
      </c>
      <c r="E38" s="61"/>
      <c r="F38" s="61"/>
      <c r="G38" s="18">
        <f>2435.81+1515.53+1485.71+1406.1+916.25+1253.44+1532.89</f>
        <v>10545.73</v>
      </c>
      <c r="H38" s="80">
        <f t="shared" si="0"/>
        <v>69.384367392591614</v>
      </c>
    </row>
    <row r="39" spans="1:8" ht="14" x14ac:dyDescent="0.3">
      <c r="A39" s="13" t="s">
        <v>60</v>
      </c>
      <c r="B39" s="8" t="s">
        <v>24</v>
      </c>
      <c r="C39" s="35">
        <f t="shared" si="3"/>
        <v>100000</v>
      </c>
      <c r="D39" s="35">
        <f>SUM(D40:D40)</f>
        <v>100000</v>
      </c>
      <c r="E39" s="61"/>
      <c r="F39" s="61"/>
      <c r="G39" s="39">
        <f>G40</f>
        <v>40745.17</v>
      </c>
      <c r="H39" s="78">
        <f t="shared" si="0"/>
        <v>40.745169999999995</v>
      </c>
    </row>
    <row r="40" spans="1:8" ht="52" x14ac:dyDescent="0.3">
      <c r="A40" s="7"/>
      <c r="B40" s="20" t="s">
        <v>49</v>
      </c>
      <c r="C40" s="18">
        <f t="shared" si="3"/>
        <v>100000</v>
      </c>
      <c r="D40" s="21">
        <v>100000</v>
      </c>
      <c r="E40" s="61"/>
      <c r="F40" s="61"/>
      <c r="G40" s="18">
        <f>20923.2+19821.97</f>
        <v>40745.17</v>
      </c>
      <c r="H40" s="80">
        <f t="shared" si="0"/>
        <v>40.745169999999995</v>
      </c>
    </row>
    <row r="41" spans="1:8" ht="30" customHeight="1" x14ac:dyDescent="0.3">
      <c r="A41" s="13" t="s">
        <v>61</v>
      </c>
      <c r="B41" s="15" t="s">
        <v>72</v>
      </c>
      <c r="C41" s="35">
        <f t="shared" si="3"/>
        <v>2025786</v>
      </c>
      <c r="D41" s="35">
        <f>SUM(D42:D43)</f>
        <v>2025786</v>
      </c>
      <c r="E41" s="61"/>
      <c r="F41" s="61"/>
      <c r="G41" s="39">
        <f>G42+G43</f>
        <v>1419598.8400000003</v>
      </c>
      <c r="H41" s="78">
        <f t="shared" si="0"/>
        <v>70.076446376863117</v>
      </c>
    </row>
    <row r="42" spans="1:8" ht="26" x14ac:dyDescent="0.3">
      <c r="A42" s="7"/>
      <c r="B42" s="9" t="s">
        <v>25</v>
      </c>
      <c r="C42" s="18">
        <f t="shared" si="3"/>
        <v>1767786</v>
      </c>
      <c r="D42" s="18">
        <f>1299893+467893</f>
        <v>1767786</v>
      </c>
      <c r="E42" s="61"/>
      <c r="F42" s="61"/>
      <c r="G42" s="18">
        <f>49995.35+49995.36+88311.75+88285.7+69147.04+69147.04+69147.04+69147.04+69147.04+69147.04+69147.04+28427.16+3395.26+69147.04+4617.93+75049.12+2848.98+75049.13+75049.13+4617.93+2730.6+75049.12</f>
        <v>1176598.8400000003</v>
      </c>
      <c r="H42" s="80">
        <f t="shared" si="0"/>
        <v>66.557764344779301</v>
      </c>
    </row>
    <row r="43" spans="1:8" ht="26" x14ac:dyDescent="0.3">
      <c r="A43" s="7"/>
      <c r="B43" s="9" t="s">
        <v>26</v>
      </c>
      <c r="C43" s="18">
        <f t="shared" si="3"/>
        <v>258000</v>
      </c>
      <c r="D43" s="18">
        <v>258000</v>
      </c>
      <c r="E43" s="61"/>
      <c r="F43" s="61"/>
      <c r="G43" s="18">
        <f>168000+75000</f>
        <v>243000</v>
      </c>
      <c r="H43" s="80">
        <f t="shared" si="0"/>
        <v>94.186046511627907</v>
      </c>
    </row>
    <row r="44" spans="1:8" ht="26" x14ac:dyDescent="0.3">
      <c r="A44" s="13" t="s">
        <v>62</v>
      </c>
      <c r="B44" s="8" t="s">
        <v>29</v>
      </c>
      <c r="C44" s="39">
        <f>D44+E44</f>
        <v>26810557.690000001</v>
      </c>
      <c r="D44" s="35">
        <f>SUM(D45:D46)</f>
        <v>26508377.460000001</v>
      </c>
      <c r="E44" s="39">
        <f>E47</f>
        <v>302180.23</v>
      </c>
      <c r="F44" s="39">
        <f>F47</f>
        <v>302180.23</v>
      </c>
      <c r="G44" s="39">
        <f>G45+G46</f>
        <v>14623498.150000004</v>
      </c>
      <c r="H44" s="78">
        <f t="shared" si="0"/>
        <v>54.543804418713691</v>
      </c>
    </row>
    <row r="45" spans="1:8" ht="39" x14ac:dyDescent="0.3">
      <c r="A45" s="7"/>
      <c r="B45" s="9" t="s">
        <v>38</v>
      </c>
      <c r="C45" s="18">
        <f t="shared" ref="C45:C58" si="4">D45+E45</f>
        <v>24695777.460000001</v>
      </c>
      <c r="D45" s="18">
        <f>12843600+5660800-1804400+6565088+1430689.46</f>
        <v>24695777.460000001</v>
      </c>
      <c r="E45" s="61"/>
      <c r="F45" s="61"/>
      <c r="G45" s="18">
        <f>462122.05+204350+682662.4+729363.3+3699.82+591827.95+1836+146611.58+691769.98+680265.98+672300.07+41786+185719.01+648029.2+4118.32+3520+58101.54+46575+697468.63+193585.46+17490.2+784042.69+11367.13+741840.86+144363.69+105501.24+839389.8+8570+852361.78+216103.44+738622.88+800359.66+257574.71+25710+872598.65</f>
        <v>13161609.020000003</v>
      </c>
      <c r="H45" s="80">
        <f t="shared" si="0"/>
        <v>53.294977415948921</v>
      </c>
    </row>
    <row r="46" spans="1:8" ht="26" x14ac:dyDescent="0.3">
      <c r="A46" s="7"/>
      <c r="B46" s="9" t="s">
        <v>43</v>
      </c>
      <c r="C46" s="18">
        <f t="shared" si="4"/>
        <v>1812600</v>
      </c>
      <c r="D46" s="18">
        <f>1133683+678917</f>
        <v>1812600</v>
      </c>
      <c r="E46" s="61"/>
      <c r="F46" s="61"/>
      <c r="G46" s="18">
        <f>564+564+187423.28+119886+163651.81+443246.6+78033.98+42019.99+13678+26145.84+6537.84+194000+36137.79+150000</f>
        <v>1461889.1300000001</v>
      </c>
      <c r="H46" s="80">
        <f t="shared" si="0"/>
        <v>80.651502261944174</v>
      </c>
    </row>
    <row r="47" spans="1:8" ht="14" x14ac:dyDescent="0.3">
      <c r="A47" s="7"/>
      <c r="B47" s="9" t="s">
        <v>89</v>
      </c>
      <c r="C47" s="21">
        <f>E47</f>
        <v>302180.23</v>
      </c>
      <c r="D47" s="21"/>
      <c r="E47" s="82">
        <f>F47</f>
        <v>302180.23</v>
      </c>
      <c r="F47" s="82">
        <v>302180.23</v>
      </c>
      <c r="G47" s="18"/>
      <c r="H47" s="80">
        <f t="shared" si="0"/>
        <v>0</v>
      </c>
    </row>
    <row r="48" spans="1:8" ht="26" x14ac:dyDescent="0.3">
      <c r="A48" s="13" t="s">
        <v>63</v>
      </c>
      <c r="B48" s="8" t="s">
        <v>8</v>
      </c>
      <c r="C48" s="35">
        <f t="shared" si="4"/>
        <v>530000</v>
      </c>
      <c r="D48" s="35">
        <f>SUM(D49:D50)</f>
        <v>530000</v>
      </c>
      <c r="E48" s="61"/>
      <c r="F48" s="61"/>
      <c r="G48" s="39">
        <f>G49+G50</f>
        <v>114108.37</v>
      </c>
      <c r="H48" s="78">
        <f t="shared" si="0"/>
        <v>21.52988113207547</v>
      </c>
    </row>
    <row r="49" spans="1:9" ht="26" x14ac:dyDescent="0.3">
      <c r="A49" s="7"/>
      <c r="B49" s="12" t="s">
        <v>9</v>
      </c>
      <c r="C49" s="36">
        <f t="shared" si="4"/>
        <v>130000</v>
      </c>
      <c r="D49" s="36">
        <f>160000-30000</f>
        <v>130000</v>
      </c>
      <c r="E49" s="61"/>
      <c r="F49" s="61"/>
      <c r="G49" s="18"/>
      <c r="H49" s="80">
        <f t="shared" si="0"/>
        <v>0</v>
      </c>
    </row>
    <row r="50" spans="1:9" ht="39" x14ac:dyDescent="0.3">
      <c r="A50" s="7"/>
      <c r="B50" s="9" t="s">
        <v>83</v>
      </c>
      <c r="C50" s="36">
        <f t="shared" si="4"/>
        <v>400000</v>
      </c>
      <c r="D50" s="36">
        <v>400000</v>
      </c>
      <c r="E50" s="61"/>
      <c r="F50" s="61"/>
      <c r="G50" s="18">
        <f>17286.18+4373.7+12912.48+4373.7+14716.13+26114.19+5831.6+28500.39</f>
        <v>114108.37</v>
      </c>
      <c r="H50" s="80">
        <f t="shared" si="0"/>
        <v>28.527092500000002</v>
      </c>
    </row>
    <row r="51" spans="1:9" ht="23.25" customHeight="1" x14ac:dyDescent="0.3">
      <c r="A51" s="13" t="s">
        <v>64</v>
      </c>
      <c r="B51" s="8" t="s">
        <v>20</v>
      </c>
      <c r="C51" s="35">
        <f t="shared" si="4"/>
        <v>1599421</v>
      </c>
      <c r="D51" s="35">
        <f>SUM(D52:D53)</f>
        <v>1599421</v>
      </c>
      <c r="E51" s="61"/>
      <c r="F51" s="61"/>
      <c r="G51" s="39">
        <f>G52+G53</f>
        <v>986940.30999999994</v>
      </c>
      <c r="H51" s="78">
        <f t="shared" si="0"/>
        <v>61.70609926967321</v>
      </c>
    </row>
    <row r="52" spans="1:9" ht="14" x14ac:dyDescent="0.3">
      <c r="A52" s="13"/>
      <c r="B52" s="20" t="s">
        <v>18</v>
      </c>
      <c r="C52" s="40">
        <f t="shared" si="4"/>
        <v>1500050</v>
      </c>
      <c r="D52" s="40">
        <v>1500050</v>
      </c>
      <c r="E52" s="61"/>
      <c r="F52" s="61"/>
      <c r="G52" s="18">
        <f>172496.91+269502.74+210442.15+119986.22+198514.2</f>
        <v>970942.22</v>
      </c>
      <c r="H52" s="80">
        <f t="shared" si="0"/>
        <v>64.727323755874806</v>
      </c>
    </row>
    <row r="53" spans="1:9" ht="14" x14ac:dyDescent="0.3">
      <c r="A53" s="13"/>
      <c r="B53" s="12" t="s">
        <v>1</v>
      </c>
      <c r="C53" s="40">
        <f t="shared" si="4"/>
        <v>99371</v>
      </c>
      <c r="D53" s="36">
        <v>99371</v>
      </c>
      <c r="E53" s="61"/>
      <c r="F53" s="61"/>
      <c r="G53" s="18">
        <f>4482.24+3216.26+2015.87+1540.32+1188.04+1780.85+1774.51</f>
        <v>15998.09</v>
      </c>
      <c r="H53" s="80">
        <f t="shared" si="0"/>
        <v>16.099354942588885</v>
      </c>
    </row>
    <row r="54" spans="1:9" ht="14" x14ac:dyDescent="0.3">
      <c r="A54" s="13" t="s">
        <v>65</v>
      </c>
      <c r="B54" s="8" t="s">
        <v>2</v>
      </c>
      <c r="C54" s="41">
        <f t="shared" si="4"/>
        <v>243800</v>
      </c>
      <c r="D54" s="41">
        <v>243800</v>
      </c>
      <c r="E54" s="61"/>
      <c r="F54" s="61"/>
      <c r="G54" s="39">
        <f>13370.96+51500</f>
        <v>64870.96</v>
      </c>
      <c r="H54" s="78">
        <f t="shared" si="0"/>
        <v>26.608269073010664</v>
      </c>
    </row>
    <row r="55" spans="1:9" ht="39" x14ac:dyDescent="0.3">
      <c r="A55" s="13" t="s">
        <v>66</v>
      </c>
      <c r="B55" s="15" t="s">
        <v>84</v>
      </c>
      <c r="C55" s="41">
        <f t="shared" ref="C55" si="5">D55+E55</f>
        <v>50000</v>
      </c>
      <c r="D55" s="36"/>
      <c r="E55" s="66">
        <f>F55</f>
        <v>50000</v>
      </c>
      <c r="F55" s="65">
        <f>50000</f>
        <v>50000</v>
      </c>
      <c r="G55" s="18"/>
      <c r="H55" s="80"/>
    </row>
    <row r="56" spans="1:9" ht="39" x14ac:dyDescent="0.3">
      <c r="A56" s="13" t="s">
        <v>67</v>
      </c>
      <c r="B56" s="15" t="s">
        <v>74</v>
      </c>
      <c r="C56" s="41">
        <f t="shared" si="4"/>
        <v>200000</v>
      </c>
      <c r="D56" s="36"/>
      <c r="E56" s="66">
        <f>F56</f>
        <v>200000</v>
      </c>
      <c r="F56" s="65">
        <f>200000</f>
        <v>200000</v>
      </c>
      <c r="G56" s="75"/>
      <c r="H56" s="73">
        <f t="shared" ref="H56:H64" si="6">(G56/C56)*100</f>
        <v>0</v>
      </c>
    </row>
    <row r="57" spans="1:9" ht="39" x14ac:dyDescent="0.3">
      <c r="A57" s="13" t="s">
        <v>88</v>
      </c>
      <c r="B57" s="15" t="s">
        <v>75</v>
      </c>
      <c r="C57" s="41">
        <f t="shared" si="4"/>
        <v>490000</v>
      </c>
      <c r="D57" s="36"/>
      <c r="E57" s="66">
        <f>F57</f>
        <v>490000</v>
      </c>
      <c r="F57" s="65">
        <v>490000</v>
      </c>
      <c r="G57" s="75"/>
      <c r="H57" s="73">
        <f t="shared" si="6"/>
        <v>0</v>
      </c>
    </row>
    <row r="58" spans="1:9" ht="52" x14ac:dyDescent="0.3">
      <c r="A58" s="13" t="s">
        <v>73</v>
      </c>
      <c r="B58" s="15" t="s">
        <v>76</v>
      </c>
      <c r="C58" s="41">
        <f t="shared" si="4"/>
        <v>440000</v>
      </c>
      <c r="D58" s="36"/>
      <c r="E58" s="66">
        <f>F58</f>
        <v>440000</v>
      </c>
      <c r="F58" s="65">
        <v>440000</v>
      </c>
      <c r="G58" s="75"/>
      <c r="H58" s="73">
        <f t="shared" si="6"/>
        <v>0</v>
      </c>
    </row>
    <row r="59" spans="1:9" s="3" customFormat="1" ht="30" x14ac:dyDescent="0.35">
      <c r="A59" s="14" t="s">
        <v>68</v>
      </c>
      <c r="B59" s="11" t="s">
        <v>37</v>
      </c>
      <c r="C59" s="42">
        <f>D59</f>
        <v>37397</v>
      </c>
      <c r="D59" s="64">
        <f>D60</f>
        <v>37397</v>
      </c>
      <c r="E59" s="63"/>
      <c r="F59" s="63"/>
      <c r="G59" s="74">
        <f>G60</f>
        <v>0</v>
      </c>
      <c r="H59" s="76">
        <f t="shared" si="6"/>
        <v>0</v>
      </c>
      <c r="I59" s="81"/>
    </row>
    <row r="60" spans="1:9" ht="26" x14ac:dyDescent="0.3">
      <c r="A60" s="19" t="s">
        <v>69</v>
      </c>
      <c r="B60" s="10" t="s">
        <v>31</v>
      </c>
      <c r="C60" s="43">
        <f>D60</f>
        <v>37397</v>
      </c>
      <c r="D60" s="43">
        <v>37397</v>
      </c>
      <c r="E60" s="61"/>
      <c r="F60" s="61"/>
      <c r="G60" s="75"/>
      <c r="H60" s="73">
        <f t="shared" si="6"/>
        <v>0</v>
      </c>
    </row>
    <row r="61" spans="1:9" s="3" customFormat="1" ht="30" x14ac:dyDescent="0.35">
      <c r="A61" s="14" t="s">
        <v>70</v>
      </c>
      <c r="B61" s="11" t="s">
        <v>0</v>
      </c>
      <c r="C61" s="42">
        <f>D61</f>
        <v>1114913</v>
      </c>
      <c r="D61" s="42">
        <f>SUM(D63:D63)</f>
        <v>1114913</v>
      </c>
      <c r="E61" s="63"/>
      <c r="F61" s="63"/>
      <c r="G61" s="74">
        <f>G62</f>
        <v>477077.8</v>
      </c>
      <c r="H61" s="76">
        <f t="shared" si="6"/>
        <v>42.790585453752897</v>
      </c>
    </row>
    <row r="62" spans="1:9" ht="14" x14ac:dyDescent="0.3">
      <c r="A62" s="13" t="s">
        <v>71</v>
      </c>
      <c r="B62" s="15" t="s">
        <v>12</v>
      </c>
      <c r="C62" s="41">
        <f>C63</f>
        <v>1114913</v>
      </c>
      <c r="D62" s="41">
        <f>D63</f>
        <v>1114913</v>
      </c>
      <c r="E62" s="61"/>
      <c r="F62" s="61"/>
      <c r="G62" s="39">
        <f>G63</f>
        <v>477077.8</v>
      </c>
      <c r="H62" s="78">
        <f t="shared" si="6"/>
        <v>42.790585453752897</v>
      </c>
    </row>
    <row r="63" spans="1:9" ht="62.25" customHeight="1" x14ac:dyDescent="0.3">
      <c r="A63" s="6"/>
      <c r="B63" s="9" t="s">
        <v>36</v>
      </c>
      <c r="C63" s="36">
        <f>D63</f>
        <v>1114913</v>
      </c>
      <c r="D63" s="36">
        <v>1114913</v>
      </c>
      <c r="E63" s="61"/>
      <c r="F63" s="61"/>
      <c r="G63" s="18">
        <f>27399.71+31510.97+32758.73+21770.68+25309.84+35498.17+31643.4+14765.7+14787.53+8500+28668.57+25548.61+31311.19+23595.69+8500+11835.5+28045.92+24577.28+23818.85+27231.46</f>
        <v>477077.8</v>
      </c>
      <c r="H63" s="80">
        <f t="shared" si="6"/>
        <v>42.790585453752897</v>
      </c>
    </row>
    <row r="64" spans="1:9" ht="15" customHeight="1" x14ac:dyDescent="0.3">
      <c r="A64" s="92" t="s">
        <v>10</v>
      </c>
      <c r="B64" s="93"/>
      <c r="C64" s="44">
        <f>D64+E64</f>
        <v>107547818.76000001</v>
      </c>
      <c r="D64" s="44">
        <f>D59+D15+D61+D13+D7</f>
        <v>75927638.530000001</v>
      </c>
      <c r="E64" s="44">
        <f>E59+E15+E61+E13+E7</f>
        <v>31620180.23</v>
      </c>
      <c r="F64" s="44">
        <f>F59+F15+F61+F13+F7</f>
        <v>31620180.23</v>
      </c>
      <c r="G64" s="44">
        <f>G59+G15+G61+G13+G7</f>
        <v>48994457.480000004</v>
      </c>
      <c r="H64" s="79">
        <f t="shared" si="6"/>
        <v>45.555975048954124</v>
      </c>
    </row>
    <row r="65" spans="1:7" ht="15.65" customHeight="1" x14ac:dyDescent="0.3">
      <c r="A65" s="26"/>
      <c r="B65" s="26"/>
      <c r="C65" s="45"/>
      <c r="D65" s="45"/>
    </row>
    <row r="66" spans="1:7" ht="23.5" customHeight="1" x14ac:dyDescent="0.3">
      <c r="A66" s="25"/>
      <c r="C66" s="24"/>
      <c r="F66" s="24"/>
    </row>
    <row r="67" spans="1:7" x14ac:dyDescent="0.3">
      <c r="B67" s="17"/>
      <c r="C67" s="16"/>
      <c r="D67" s="16"/>
    </row>
    <row r="68" spans="1:7" s="4" customFormat="1" x14ac:dyDescent="0.3">
      <c r="A68" s="1"/>
      <c r="B68" s="2"/>
      <c r="C68" s="23"/>
      <c r="D68" s="67"/>
      <c r="E68" s="1"/>
      <c r="F68" s="1"/>
      <c r="G68" s="1"/>
    </row>
    <row r="69" spans="1:7" s="4" customFormat="1" x14ac:dyDescent="0.3">
      <c r="A69" s="1"/>
      <c r="B69" s="2"/>
      <c r="C69" s="23"/>
      <c r="E69" s="1"/>
      <c r="F69" s="1"/>
      <c r="G69" s="1"/>
    </row>
    <row r="70" spans="1:7" s="4" customFormat="1" x14ac:dyDescent="0.3">
      <c r="A70" s="1"/>
      <c r="B70" s="2"/>
      <c r="C70" s="22"/>
      <c r="E70" s="1"/>
      <c r="F70" s="1"/>
      <c r="G70" s="1"/>
    </row>
  </sheetData>
  <mergeCells count="10">
    <mergeCell ref="A64:B64"/>
    <mergeCell ref="A5:A6"/>
    <mergeCell ref="B5:B6"/>
    <mergeCell ref="C5:C6"/>
    <mergeCell ref="D5:D6"/>
    <mergeCell ref="G5:G6"/>
    <mergeCell ref="H5:H6"/>
    <mergeCell ref="E1:F1"/>
    <mergeCell ref="E5:E6"/>
    <mergeCell ref="A3:F3"/>
  </mergeCells>
  <pageMargins left="0.56999999999999995" right="0.3" top="0.5" bottom="0.74803149606299213" header="0.32" footer="0.31496062992125984"/>
  <pageSetup paperSize="9" scale="6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10 </vt:lpstr>
      <vt:lpstr>'дод 10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fmg3</cp:lastModifiedBy>
  <cp:lastPrinted>2020-08-17T06:00:15Z</cp:lastPrinted>
  <dcterms:created xsi:type="dcterms:W3CDTF">2014-01-17T10:52:16Z</dcterms:created>
  <dcterms:modified xsi:type="dcterms:W3CDTF">2020-09-01T08:18:52Z</dcterms:modified>
</cp:coreProperties>
</file>